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ichiganstate-my.sharepoint.com/personal/shoupdan_msu_edu/Documents/Documents/Projects_SPA/Projects_InProgress/USDA_FA_Rates/"/>
    </mc:Choice>
  </mc:AlternateContent>
  <xr:revisionPtr revIDLastSave="1" documentId="13_ncr:1_{61E6FCAF-BD63-40F4-99BD-ECE9927347F0}" xr6:coauthVersionLast="47" xr6:coauthVersionMax="47" xr10:uidLastSave="{D98BB807-C3DB-490C-87AF-3A26BAFB7C53}"/>
  <bookViews>
    <workbookView xWindow="29640" yWindow="-17565" windowWidth="21045" windowHeight="13125" xr2:uid="{00000000-000D-0000-FFFF-FFFF00000000}"/>
  </bookViews>
  <sheets>
    <sheet name="F&amp;A Calculator" sheetId="2" r:id="rId1"/>
  </sheets>
  <definedNames>
    <definedName name="_xlnm.Print_Area" localSheetId="0">'F&amp;A Calculator'!$A$1:$G$82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1" i="2" l="1"/>
  <c r="D3" i="2"/>
  <c r="E5" i="2" s="1"/>
  <c r="H56" i="2"/>
  <c r="E77" i="2"/>
  <c r="E73" i="2"/>
  <c r="E69" i="2"/>
  <c r="E65" i="2"/>
  <c r="E61" i="2"/>
  <c r="E57" i="2"/>
  <c r="E53" i="2"/>
  <c r="E49" i="2"/>
  <c r="E45" i="2"/>
  <c r="F45" i="2" s="1"/>
  <c r="E41" i="2"/>
  <c r="F41" i="2"/>
  <c r="E37" i="2"/>
  <c r="F37" i="2" s="1"/>
  <c r="E33" i="2"/>
  <c r="F33" i="2" s="1"/>
  <c r="E29" i="2"/>
  <c r="E25" i="2"/>
  <c r="F25" i="2"/>
  <c r="E21" i="2"/>
  <c r="F21" i="2"/>
  <c r="D46" i="2"/>
  <c r="H41" i="2"/>
  <c r="D81" i="2" s="1"/>
  <c r="H40" i="2"/>
  <c r="D80" i="2" s="1"/>
  <c r="L76" i="2"/>
  <c r="L72" i="2"/>
  <c r="L68" i="2"/>
  <c r="L64" i="2"/>
  <c r="L60" i="2"/>
  <c r="L56" i="2"/>
  <c r="L52" i="2"/>
  <c r="L48" i="2"/>
  <c r="L44" i="2"/>
  <c r="H16" i="2"/>
  <c r="D78" i="2"/>
  <c r="F77" i="2"/>
  <c r="D74" i="2"/>
  <c r="F73" i="2"/>
  <c r="D70" i="2"/>
  <c r="F69" i="2"/>
  <c r="D66" i="2"/>
  <c r="F65" i="2"/>
  <c r="D62" i="2"/>
  <c r="F61" i="2"/>
  <c r="D58" i="2"/>
  <c r="F57" i="2"/>
  <c r="D54" i="2"/>
  <c r="F53" i="2"/>
  <c r="D50" i="2"/>
  <c r="F49" i="2"/>
  <c r="H42" i="2"/>
  <c r="E68" i="2"/>
  <c r="E76" i="2"/>
  <c r="E72" i="2"/>
  <c r="E64" i="2"/>
  <c r="E60" i="2"/>
  <c r="E56" i="2"/>
  <c r="E52" i="2"/>
  <c r="E48" i="2"/>
  <c r="E44" i="2"/>
  <c r="L40" i="2"/>
  <c r="D42" i="2"/>
  <c r="E40" i="2"/>
  <c r="F29" i="2"/>
  <c r="E28" i="2"/>
  <c r="E32" i="2"/>
  <c r="E36" i="2"/>
  <c r="E24" i="2"/>
  <c r="E20" i="2"/>
  <c r="D38" i="2"/>
  <c r="C18" i="2"/>
  <c r="C16" i="2"/>
  <c r="I31" i="2"/>
  <c r="C17" i="2" s="1"/>
  <c r="C15" i="2"/>
  <c r="D34" i="2"/>
  <c r="D30" i="2"/>
  <c r="D26" i="2"/>
  <c r="D22" i="2"/>
  <c r="L36" i="2"/>
  <c r="L32" i="2"/>
  <c r="L28" i="2"/>
  <c r="L24" i="2"/>
  <c r="L20" i="2"/>
  <c r="L80" i="2" s="1"/>
  <c r="H55" i="2" s="1"/>
  <c r="D4" i="2" l="1"/>
  <c r="H36" i="2" s="1"/>
  <c r="G17" i="2"/>
  <c r="D82" i="2"/>
  <c r="D7" i="2"/>
  <c r="H9" i="2" s="1"/>
  <c r="H10" i="2" s="1"/>
  <c r="E4" i="2"/>
  <c r="H15" i="2"/>
  <c r="H18" i="2" l="1"/>
  <c r="H21" i="2" s="1"/>
  <c r="H22" i="2"/>
  <c r="H17" i="2"/>
  <c r="H26" i="2" s="1"/>
  <c r="H57" i="2"/>
  <c r="D8" i="2"/>
  <c r="D6" i="2"/>
  <c r="G15" i="2"/>
  <c r="H23" i="2" l="1"/>
  <c r="H25" i="2" s="1"/>
  <c r="H31" i="2" l="1"/>
  <c r="D17" i="2" s="1"/>
  <c r="H24" i="2"/>
  <c r="I26" i="2" s="1"/>
  <c r="H27" i="2"/>
  <c r="H28" i="2" l="1"/>
  <c r="E17" i="2"/>
  <c r="G11" i="2"/>
  <c r="G24" i="2"/>
  <c r="G26" i="2" s="1"/>
  <c r="H54" i="2" l="1"/>
  <c r="H58" i="2" s="1"/>
  <c r="H29" i="2" s="1"/>
  <c r="G12" i="2"/>
  <c r="H30" i="2" l="1"/>
  <c r="H32" i="2" s="1"/>
  <c r="D18" i="2" s="1"/>
  <c r="D15" i="2"/>
  <c r="E15" i="2" s="1"/>
  <c r="D16" i="2" l="1"/>
  <c r="H35" i="2" s="1"/>
  <c r="E18" i="2"/>
  <c r="H59" i="2"/>
  <c r="H12" i="2"/>
  <c r="L15" i="2" s="1"/>
  <c r="E16" i="2" l="1"/>
  <c r="D11" i="2"/>
  <c r="G28" i="2" s="1"/>
  <c r="H33" i="2"/>
  <c r="G19" i="2"/>
  <c r="G21" i="2" s="1"/>
  <c r="F15" i="2"/>
  <c r="F17" i="2" s="1"/>
  <c r="F18" i="2" s="1"/>
  <c r="G29" i="2" l="1"/>
  <c r="G30" i="2"/>
  <c r="E12" i="2"/>
  <c r="C11" i="2" s="1"/>
  <c r="G31" i="2"/>
  <c r="F12" i="2"/>
  <c r="E11" i="2"/>
  <c r="G22" i="2"/>
</calcChain>
</file>

<file path=xl/sharedStrings.xml><?xml version="1.0" encoding="utf-8"?>
<sst xmlns="http://schemas.openxmlformats.org/spreadsheetml/2006/main" count="99" uniqueCount="94">
  <si>
    <t>Inputs</t>
  </si>
  <si>
    <t>MSU MTDC Calc Amount</t>
  </si>
  <si>
    <t>MSU MTDC Adjusted Base Amount</t>
  </si>
  <si>
    <t>Subaward 1 Direct Amount</t>
  </si>
  <si>
    <t>Subaward 1 F&amp;A Amount</t>
  </si>
  <si>
    <t>Subaward 2 Direct Amount</t>
  </si>
  <si>
    <t>Subaward 2 F&amp;A Amount</t>
  </si>
  <si>
    <t>Subaward 3 Direct Amount</t>
  </si>
  <si>
    <t>Subaward 3 F&amp;A Amount</t>
  </si>
  <si>
    <t>Subaward 4 Direct Amount</t>
  </si>
  <si>
    <t>Subaward 4 F&amp;A Amount</t>
  </si>
  <si>
    <t>Subaward 5 Direct Amount</t>
  </si>
  <si>
    <t>Subaward 5 F&amp;A Amount</t>
  </si>
  <si>
    <t>MSU Direct Cost Exclusions Other Than Subawards</t>
  </si>
  <si>
    <t>Subk Max</t>
  </si>
  <si>
    <t>Subaward IDC Amount</t>
  </si>
  <si>
    <t>Max TDC Calc Amount</t>
  </si>
  <si>
    <t>Total Subaward 1</t>
  </si>
  <si>
    <t>Total Subaward 2</t>
  </si>
  <si>
    <t>Total Subaward 3</t>
  </si>
  <si>
    <t>Total Subaward 4</t>
  </si>
  <si>
    <t>Total Subaward 5</t>
  </si>
  <si>
    <t>MSU MTDC Bonus Amount</t>
  </si>
  <si>
    <t>Adjusted F&amp;A Amount</t>
  </si>
  <si>
    <t>Total Claimed F&amp;A</t>
  </si>
  <si>
    <t>MSU IDC Amount</t>
  </si>
  <si>
    <t>F&amp;A Before Adjustments</t>
  </si>
  <si>
    <t>MSU F&amp;A Amount Before Adjustments</t>
  </si>
  <si>
    <t>MSU Effective MTDC Rate Before Adjustments</t>
  </si>
  <si>
    <t>Percentage of Total F&amp;A Amount Budgeted by Subs</t>
  </si>
  <si>
    <t>Subaward Percentage of Total Project Amount</t>
  </si>
  <si>
    <t>Shortfall due to USDA NIFA TFFA Policy</t>
  </si>
  <si>
    <t>Is MSU F&amp;A and Subs F&amp;A less than Max</t>
  </si>
  <si>
    <t>Input the information in the gray fields</t>
  </si>
  <si>
    <t>Adjusted MSU Effective MTDC Rate</t>
  </si>
  <si>
    <r>
      <t xml:space="preserve">Warning: look for </t>
    </r>
    <r>
      <rPr>
        <b/>
        <i/>
        <sz val="11"/>
        <color rgb="FFC00000"/>
        <rFont val="Calibri"/>
        <family val="2"/>
        <scheme val="minor"/>
      </rPr>
      <t>error messages</t>
    </r>
    <r>
      <rPr>
        <sz val="11"/>
        <color theme="1"/>
        <rFont val="Calibri"/>
        <family val="2"/>
        <scheme val="minor"/>
      </rPr>
      <t xml:space="preserve"> when inputting </t>
    </r>
  </si>
  <si>
    <t>Subaward 6 Direct Amount</t>
  </si>
  <si>
    <t>Subaward 6 F&amp;A Amount</t>
  </si>
  <si>
    <t>Total Subaward 6</t>
  </si>
  <si>
    <t>Subaward 7 Direct Amount</t>
  </si>
  <si>
    <t>Subaward 7 F&amp;A Amount</t>
  </si>
  <si>
    <t>Total Subaward 7</t>
  </si>
  <si>
    <t>Subaward 8 Direct Amount</t>
  </si>
  <si>
    <t>Subaward 8 F&amp;A Amount</t>
  </si>
  <si>
    <t>Total Subaward 8</t>
  </si>
  <si>
    <t>Subaward 9 Direct Amount</t>
  </si>
  <si>
    <t>Subaward 9 F&amp;A Amount</t>
  </si>
  <si>
    <t>Total Subaward 9</t>
  </si>
  <si>
    <t>Subaward 10 Direct Amount</t>
  </si>
  <si>
    <t>Subaward 10 F&amp;A Amount</t>
  </si>
  <si>
    <t>Total Subaward 10</t>
  </si>
  <si>
    <t>Subaward 11 Direct Amount</t>
  </si>
  <si>
    <t>Subaward 11 F&amp;A Amount</t>
  </si>
  <si>
    <t>Total Subaward 11</t>
  </si>
  <si>
    <t>Subaward 12 Direct Amount</t>
  </si>
  <si>
    <t>Subaward 12 F&amp;A Amount</t>
  </si>
  <si>
    <t>Total Subaward 12</t>
  </si>
  <si>
    <t>Subaward 13 Direct Amount</t>
  </si>
  <si>
    <t>Subaward 13 F&amp;A Amount</t>
  </si>
  <si>
    <t>Total Subaward 13</t>
  </si>
  <si>
    <t>Subaward 14 Direct Amount</t>
  </si>
  <si>
    <t>Subaward 14 F&amp;A Amount</t>
  </si>
  <si>
    <t>Total Subaward 14</t>
  </si>
  <si>
    <t>Subaward 15 Direct Amount</t>
  </si>
  <si>
    <t>Subaward 15 F&amp;A Amount</t>
  </si>
  <si>
    <t>Total Subaward 15</t>
  </si>
  <si>
    <t>Total Subaward IDC</t>
  </si>
  <si>
    <t>Total Subaward Direct Amount</t>
  </si>
  <si>
    <t>Total Subaward Amount</t>
  </si>
  <si>
    <t>Total Subaward F&amp;A Amount</t>
  </si>
  <si>
    <t>MSU MTDC F&amp;A Rate</t>
  </si>
  <si>
    <t>Click here for newest version</t>
  </si>
  <si>
    <t>MSU Total Direct Costs (Excluding Subawards F&amp;A)</t>
  </si>
  <si>
    <t>Max TFFA Possible</t>
  </si>
  <si>
    <t>Subaward Direct</t>
  </si>
  <si>
    <t>Total</t>
  </si>
  <si>
    <t>KC Indirect Amount Including Subs F&amp;A</t>
  </si>
  <si>
    <t>MSU and Subawardees F&amp;A</t>
  </si>
  <si>
    <t>&lt;-Adj MSU Efffective MTDC Base + Sub F&amp;A</t>
  </si>
  <si>
    <t>MTDC</t>
  </si>
  <si>
    <t>MSU TFFA Base Amount</t>
  </si>
  <si>
    <t>Unadjusted MSU Total Direct Excluding Subs</t>
  </si>
  <si>
    <t>MSU Base for Applicable KC Rate Calculation</t>
  </si>
  <si>
    <t>MSU Total Direct Excluding Subs Updated for Amt Over Max F&amp;A</t>
  </si>
  <si>
    <t>Add Subk at $25k per Subk</t>
  </si>
  <si>
    <t>MTDC Exclusions</t>
  </si>
  <si>
    <t>Total Subawards</t>
  </si>
  <si>
    <t>MTDC Base</t>
  </si>
  <si>
    <t>KC Summary Total Direct Costs Sync Number</t>
  </si>
  <si>
    <t>&lt;- Input the Cap/Target Amount</t>
  </si>
  <si>
    <t>Project Target Direct Cost (70%)</t>
  </si>
  <si>
    <t>Check Number -&gt; KR Summary Total Costs*</t>
  </si>
  <si>
    <t>*KR F&amp;A amount should be slightly lower due to rounding</t>
  </si>
  <si>
    <t>Version 6.0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</si>
</sst>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* #,##0.0000_);_(* \(#,##0.0000\);_(* &quot;-&quot;??_);_(@_)"/>
    <numFmt numFmtId="167" formatCode="0.000%"/>
    <numFmt numFmtId="168" formatCode="&quot;$&quot;#,##0.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i/>
      <sz val="11"/>
      <color theme="4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theme="9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80">
    <xf numFmtId="0" fontId="0" fillId="0" borderId="0" xfId="0"/>
    <xf numFmtId="164" fontId="0" fillId="0" borderId="0" xfId="1" applyNumberFormat="1" applyFont="1"/>
    <xf numFmtId="10" fontId="0" fillId="0" borderId="0" xfId="2" applyNumberFormat="1" applyFont="1"/>
    <xf numFmtId="164" fontId="0" fillId="0" borderId="0" xfId="1" applyNumberFormat="1" applyFont="1" applyAlignment="1">
      <alignment wrapText="1"/>
    </xf>
    <xf numFmtId="10" fontId="2" fillId="0" borderId="0" xfId="2" applyNumberFormat="1" applyFont="1" applyAlignment="1">
      <alignment wrapText="1"/>
    </xf>
    <xf numFmtId="0" fontId="0" fillId="0" borderId="0" xfId="0" applyAlignment="1">
      <alignment horizontal="right"/>
    </xf>
    <xf numFmtId="164" fontId="0" fillId="0" borderId="0" xfId="1" applyNumberFormat="1" applyFont="1" applyAlignment="1">
      <alignment horizontal="center" vertical="center"/>
    </xf>
    <xf numFmtId="164" fontId="3" fillId="2" borderId="0" xfId="1" applyNumberFormat="1" applyFont="1" applyFill="1" applyAlignment="1"/>
    <xf numFmtId="165" fontId="3" fillId="2" borderId="0" xfId="2" applyNumberFormat="1" applyFont="1" applyFill="1" applyAlignment="1"/>
    <xf numFmtId="0" fontId="0" fillId="0" borderId="0" xfId="0" applyAlignment="1">
      <alignment horizontal="left" vertical="top"/>
    </xf>
    <xf numFmtId="164" fontId="0" fillId="0" borderId="0" xfId="0" applyNumberFormat="1"/>
    <xf numFmtId="0" fontId="4" fillId="0" borderId="0" xfId="0" applyFont="1"/>
    <xf numFmtId="164" fontId="4" fillId="0" borderId="0" xfId="0" applyNumberFormat="1" applyFont="1"/>
    <xf numFmtId="164" fontId="0" fillId="0" borderId="0" xfId="2" applyNumberFormat="1" applyFont="1"/>
    <xf numFmtId="0" fontId="6" fillId="0" borderId="0" xfId="0" applyFont="1" applyAlignment="1">
      <alignment horizontal="left" vertical="top"/>
    </xf>
    <xf numFmtId="164" fontId="6" fillId="0" borderId="0" xfId="1" applyNumberFormat="1" applyFont="1" applyAlignment="1">
      <alignment vertical="top"/>
    </xf>
    <xf numFmtId="164" fontId="5" fillId="0" borderId="0" xfId="1" applyNumberFormat="1" applyFont="1"/>
    <xf numFmtId="0" fontId="5" fillId="0" borderId="0" xfId="0" applyFont="1"/>
    <xf numFmtId="0" fontId="5" fillId="0" borderId="0" xfId="0" applyFont="1" applyAlignment="1">
      <alignment horizontal="right"/>
    </xf>
    <xf numFmtId="9" fontId="4" fillId="0" borderId="0" xfId="2" applyFont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164" fontId="5" fillId="0" borderId="2" xfId="2" applyNumberFormat="1" applyFont="1" applyBorder="1"/>
    <xf numFmtId="0" fontId="8" fillId="0" borderId="0" xfId="0" applyFont="1" applyAlignment="1">
      <alignment horizontal="right"/>
    </xf>
    <xf numFmtId="0" fontId="8" fillId="0" borderId="0" xfId="0" applyFont="1"/>
    <xf numFmtId="0" fontId="4" fillId="0" borderId="0" xfId="0" applyFont="1" applyAlignment="1">
      <alignment horizontal="left"/>
    </xf>
    <xf numFmtId="164" fontId="3" fillId="0" borderId="0" xfId="1" applyNumberFormat="1" applyFont="1" applyFill="1" applyAlignment="1"/>
    <xf numFmtId="166" fontId="0" fillId="0" borderId="0" xfId="1" applyNumberFormat="1" applyFont="1"/>
    <xf numFmtId="164" fontId="0" fillId="0" borderId="8" xfId="1" applyNumberFormat="1" applyFont="1" applyBorder="1"/>
    <xf numFmtId="164" fontId="0" fillId="0" borderId="1" xfId="1" applyNumberFormat="1" applyFont="1" applyBorder="1"/>
    <xf numFmtId="164" fontId="5" fillId="0" borderId="0" xfId="1" applyNumberFormat="1" applyFont="1" applyAlignment="1">
      <alignment horizontal="center" vertical="center"/>
    </xf>
    <xf numFmtId="43" fontId="0" fillId="0" borderId="0" xfId="0" applyNumberFormat="1"/>
    <xf numFmtId="165" fontId="4" fillId="0" borderId="0" xfId="2" applyNumberFormat="1" applyFont="1"/>
    <xf numFmtId="10" fontId="0" fillId="0" borderId="0" xfId="2" applyNumberFormat="1" applyFont="1" applyAlignment="1">
      <alignment horizontal="right"/>
    </xf>
    <xf numFmtId="0" fontId="13" fillId="0" borderId="0" xfId="0" applyFont="1"/>
    <xf numFmtId="165" fontId="0" fillId="0" borderId="0" xfId="2" applyNumberFormat="1" applyFont="1"/>
    <xf numFmtId="164" fontId="5" fillId="0" borderId="8" xfId="1" applyNumberFormat="1" applyFont="1" applyBorder="1"/>
    <xf numFmtId="166" fontId="0" fillId="0" borderId="0" xfId="0" applyNumberFormat="1"/>
    <xf numFmtId="167" fontId="0" fillId="0" borderId="0" xfId="2" applyNumberFormat="1" applyFont="1"/>
    <xf numFmtId="0" fontId="0" fillId="0" borderId="0" xfId="0" applyAlignment="1">
      <alignment vertical="center"/>
    </xf>
    <xf numFmtId="0" fontId="5" fillId="0" borderId="0" xfId="0" applyFont="1" applyAlignment="1">
      <alignment horizontal="right" vertical="center"/>
    </xf>
    <xf numFmtId="164" fontId="3" fillId="2" borderId="0" xfId="1" applyNumberFormat="1" applyFont="1" applyFill="1" applyAlignment="1">
      <alignment vertical="center"/>
    </xf>
    <xf numFmtId="0" fontId="14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6" fillId="0" borderId="0" xfId="0" applyFont="1"/>
    <xf numFmtId="0" fontId="16" fillId="0" borderId="0" xfId="0" applyFont="1" applyAlignment="1">
      <alignment horizontal="right"/>
    </xf>
    <xf numFmtId="164" fontId="16" fillId="0" borderId="0" xfId="1" applyNumberFormat="1" applyFont="1"/>
    <xf numFmtId="164" fontId="15" fillId="0" borderId="0" xfId="1" applyNumberFormat="1" applyFont="1" applyAlignment="1">
      <alignment horizontal="right"/>
    </xf>
    <xf numFmtId="164" fontId="16" fillId="0" borderId="0" xfId="0" applyNumberFormat="1" applyFont="1" applyAlignment="1">
      <alignment horizontal="right"/>
    </xf>
    <xf numFmtId="43" fontId="17" fillId="0" borderId="0" xfId="1" applyFont="1" applyAlignment="1">
      <alignment horizontal="right"/>
    </xf>
    <xf numFmtId="43" fontId="16" fillId="0" borderId="0" xfId="1" applyFont="1"/>
    <xf numFmtId="43" fontId="15" fillId="0" borderId="0" xfId="1" applyFont="1" applyAlignment="1">
      <alignment horizontal="right"/>
    </xf>
    <xf numFmtId="43" fontId="16" fillId="0" borderId="0" xfId="0" applyNumberFormat="1" applyFont="1"/>
    <xf numFmtId="0" fontId="18" fillId="0" borderId="0" xfId="0" applyFont="1" applyAlignment="1">
      <alignment horizontal="right" wrapText="1"/>
    </xf>
    <xf numFmtId="0" fontId="15" fillId="0" borderId="0" xfId="0" applyFont="1" applyAlignment="1">
      <alignment horizontal="right" wrapText="1"/>
    </xf>
    <xf numFmtId="0" fontId="15" fillId="0" borderId="0" xfId="0" applyFont="1" applyAlignment="1">
      <alignment horizontal="right"/>
    </xf>
    <xf numFmtId="10" fontId="8" fillId="4" borderId="0" xfId="0" applyNumberFormat="1" applyFont="1" applyFill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164" fontId="3" fillId="0" borderId="0" xfId="1" applyNumberFormat="1" applyFont="1" applyAlignment="1">
      <alignment vertical="center"/>
    </xf>
    <xf numFmtId="168" fontId="0" fillId="0" borderId="0" xfId="0" applyNumberFormat="1"/>
    <xf numFmtId="168" fontId="8" fillId="3" borderId="0" xfId="1" applyNumberFormat="1" applyFont="1" applyFill="1" applyBorder="1" applyAlignment="1">
      <alignment horizontal="center" vertical="center" wrapText="1"/>
    </xf>
    <xf numFmtId="168" fontId="8" fillId="3" borderId="0" xfId="0" applyNumberFormat="1" applyFont="1" applyFill="1" applyAlignment="1">
      <alignment horizontal="center" vertical="center" wrapText="1"/>
    </xf>
    <xf numFmtId="0" fontId="19" fillId="3" borderId="0" xfId="0" applyFont="1" applyFill="1" applyAlignment="1">
      <alignment horizontal="center" vertical="center" wrapText="1"/>
    </xf>
    <xf numFmtId="0" fontId="20" fillId="4" borderId="0" xfId="0" applyFont="1" applyFill="1" applyAlignment="1">
      <alignment horizontal="center" vertical="center" wrapText="1"/>
    </xf>
    <xf numFmtId="0" fontId="21" fillId="3" borderId="0" xfId="0" applyFont="1" applyFill="1" applyAlignment="1">
      <alignment horizontal="center" vertical="center" wrapText="1"/>
    </xf>
    <xf numFmtId="0" fontId="22" fillId="0" borderId="9" xfId="0" applyFont="1" applyBorder="1" applyAlignment="1">
      <alignment horizontal="right"/>
    </xf>
    <xf numFmtId="164" fontId="23" fillId="0" borderId="10" xfId="0" applyNumberFormat="1" applyFont="1" applyBorder="1" applyAlignment="1">
      <alignment horizontal="right"/>
    </xf>
    <xf numFmtId="0" fontId="10" fillId="3" borderId="0" xfId="3" applyFill="1" applyAlignment="1">
      <alignment horizontal="center" vertical="center" wrapText="1"/>
    </xf>
    <xf numFmtId="164" fontId="2" fillId="0" borderId="0" xfId="1" applyNumberFormat="1" applyFont="1"/>
    <xf numFmtId="0" fontId="9" fillId="4" borderId="0" xfId="0" applyFont="1" applyFill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ga.msu.edu/pl/sitefiles/getfile.aspx?id=6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82"/>
  <sheetViews>
    <sheetView tabSelected="1" zoomScale="87" zoomScaleNormal="87" workbookViewId="0">
      <selection activeCell="D3" sqref="D3"/>
    </sheetView>
  </sheetViews>
  <sheetFormatPr defaultRowHeight="15" x14ac:dyDescent="0.25"/>
  <cols>
    <col min="1" max="1" width="15" customWidth="1"/>
    <col min="2" max="2" width="19.42578125" customWidth="1"/>
    <col min="3" max="3" width="24" style="5" customWidth="1"/>
    <col min="4" max="4" width="19.7109375" style="6" customWidth="1"/>
    <col min="5" max="5" width="16.85546875" customWidth="1"/>
    <col min="6" max="6" width="19.5703125" customWidth="1"/>
    <col min="7" max="7" width="22.5703125" customWidth="1"/>
    <col min="8" max="8" width="11.85546875" hidden="1" customWidth="1"/>
    <col min="9" max="10" width="9.140625" hidden="1" customWidth="1"/>
    <col min="11" max="11" width="24" hidden="1" customWidth="1"/>
    <col min="12" max="12" width="8.42578125" hidden="1" customWidth="1"/>
    <col min="13" max="14" width="9.140625" hidden="1" customWidth="1"/>
    <col min="15" max="18" width="0" hidden="1" customWidth="1"/>
    <col min="21" max="21" width="10.28515625" customWidth="1"/>
  </cols>
  <sheetData>
    <row r="1" spans="1:19" x14ac:dyDescent="0.25">
      <c r="C1" s="22" t="s">
        <v>33</v>
      </c>
      <c r="D1" s="29" t="s">
        <v>0</v>
      </c>
      <c r="E1" s="23" t="s">
        <v>33</v>
      </c>
      <c r="G1" s="78" t="s">
        <v>93</v>
      </c>
      <c r="O1" s="70" t="s">
        <v>71</v>
      </c>
      <c r="P1" s="70"/>
      <c r="Q1" s="70"/>
    </row>
    <row r="2" spans="1:19" ht="15.75" thickBot="1" x14ac:dyDescent="0.3">
      <c r="C2" s="39"/>
      <c r="D2" s="40">
        <v>500000</v>
      </c>
      <c r="E2" s="41" t="s">
        <v>89</v>
      </c>
      <c r="G2" s="79"/>
      <c r="O2" s="70"/>
      <c r="P2" s="70"/>
      <c r="Q2" s="70"/>
    </row>
    <row r="3" spans="1:19" s="38" customFormat="1" ht="15.75" customHeight="1" x14ac:dyDescent="0.25">
      <c r="C3" s="39" t="s">
        <v>90</v>
      </c>
      <c r="D3" s="1">
        <f>ROUND(+D2*0.7,0)</f>
        <v>350000</v>
      </c>
      <c r="E3" s="41"/>
    </row>
    <row r="4" spans="1:19" s="38" customFormat="1" ht="18" customHeight="1" x14ac:dyDescent="0.25">
      <c r="A4" s="42"/>
      <c r="B4" s="59"/>
      <c r="C4" s="60" t="s">
        <v>72</v>
      </c>
      <c r="D4" s="61">
        <f>+D3-D81</f>
        <v>350000</v>
      </c>
      <c r="E4" s="43" t="str">
        <f>IF(D4-(+D81)&lt;0,"&lt;-Error - Total Subaward Amts &gt; Total Direct Requested Amt: " &amp; +D4-(+D81) &amp; "; Subk " &amp; +D81 &amp; "; MSU Direct " &amp; +D4,"")</f>
        <v/>
      </c>
      <c r="H4" s="44"/>
      <c r="I4" s="45"/>
      <c r="J4" s="45"/>
      <c r="K4" s="45"/>
    </row>
    <row r="5" spans="1:19" s="38" customFormat="1" ht="19.5" customHeight="1" thickBot="1" x14ac:dyDescent="0.3">
      <c r="C5" s="39" t="s">
        <v>13</v>
      </c>
      <c r="D5" s="40"/>
      <c r="E5" s="43" t="str">
        <f>IF(D3-D80-D5&lt;0,"&lt;-Error - Total Exclusion Amt &gt; Total Direct Requested Amt: " &amp; +D3-D80-D5 &amp; "; Direct Costs" &amp; +D3 &amp; "; Subs Direct " &amp; +D80 &amp; "; Exclusions " &amp; +D5,"")</f>
        <v/>
      </c>
      <c r="H5" s="45"/>
      <c r="I5" s="45"/>
      <c r="J5" s="45"/>
      <c r="K5" s="45"/>
    </row>
    <row r="6" spans="1:19" x14ac:dyDescent="0.25">
      <c r="C6" s="18" t="s">
        <v>68</v>
      </c>
      <c r="D6" s="1">
        <f>+D82</f>
        <v>0</v>
      </c>
      <c r="E6" s="9"/>
      <c r="F6" s="74" t="s">
        <v>35</v>
      </c>
      <c r="G6" s="75"/>
      <c r="H6" s="9"/>
      <c r="I6" s="9"/>
      <c r="J6" s="9"/>
      <c r="K6" s="9"/>
    </row>
    <row r="7" spans="1:19" ht="15.75" thickBot="1" x14ac:dyDescent="0.3">
      <c r="A7" s="34"/>
      <c r="B7" s="46"/>
      <c r="C7" s="47" t="s">
        <v>2</v>
      </c>
      <c r="D7" s="48">
        <f>+D3+L20+L24+L28+L32+L36+L40+L44+L48+L52+L56+L60+L64+L68+L72+L76-D5-D82</f>
        <v>350000</v>
      </c>
      <c r="E7" s="1"/>
      <c r="F7" s="76"/>
      <c r="G7" s="77"/>
    </row>
    <row r="8" spans="1:19" x14ac:dyDescent="0.25">
      <c r="B8" s="46"/>
      <c r="C8" s="47" t="s">
        <v>80</v>
      </c>
      <c r="D8" s="48">
        <f>+D3-D82</f>
        <v>350000</v>
      </c>
      <c r="E8" s="1"/>
    </row>
    <row r="9" spans="1:19" x14ac:dyDescent="0.25">
      <c r="C9" s="5" t="s">
        <v>70</v>
      </c>
      <c r="D9" s="8">
        <v>0.56999999999999995</v>
      </c>
      <c r="H9" s="1">
        <f>ROUND(+D7*D9,0)</f>
        <v>199500</v>
      </c>
      <c r="I9" s="9" t="s">
        <v>1</v>
      </c>
    </row>
    <row r="10" spans="1:19" x14ac:dyDescent="0.25">
      <c r="D10" s="5"/>
      <c r="F10" s="33"/>
      <c r="H10" s="1">
        <f>+H9+D81</f>
        <v>199500</v>
      </c>
      <c r="I10" s="9" t="s">
        <v>77</v>
      </c>
    </row>
    <row r="11" spans="1:19" ht="66" customHeight="1" x14ac:dyDescent="0.25">
      <c r="C11" s="73" t="str">
        <f>IF(+D11="Use USDA TFFA Rate Type &amp; Rate -&gt;","Total Federal Funds Awarded (TFFA Rate " &amp; ROUND(+E12/(+E12+D4),4) &amp; ")","")</f>
        <v>Total Federal Funds Awarded (TFFA Rate 0.3)</v>
      </c>
      <c r="D11" s="72" t="str">
        <f>IF(+D16&gt;0,+H18 &amp; " &amp; Rate -&gt;","")</f>
        <v>Use USDA TFFA Rate Type &amp; Rate -&gt;</v>
      </c>
      <c r="E11" s="67" t="str">
        <f>IF(+D11="Use USDA TFFA Rate Type &amp; Rate -&gt;","Check Number -&gt; MSU F&amp;A Amount*","Check Number -&gt; MSU F&amp;A Amount*")</f>
        <v>Check Number -&gt; MSU F&amp;A Amount*</v>
      </c>
      <c r="F11" s="66" t="str">
        <f>"Input Applicable KR Rate"</f>
        <v>Input Applicable KR Rate</v>
      </c>
      <c r="G11" s="65" t="str">
        <f>"Check Number -&gt; KR Summary Total Direct Costs Sync Number (Project Direct Costs " &amp; +D3 &amp; " + Subs F&amp;A " &amp; +D17 &amp; ")"</f>
        <v>Check Number -&gt; KR Summary Total Direct Costs Sync Number (Project Direct Costs 350000 + Subs F&amp;A 0)</v>
      </c>
      <c r="H11" s="1"/>
      <c r="I11" s="9"/>
      <c r="R11" s="10"/>
      <c r="S11" s="10"/>
    </row>
    <row r="12" spans="1:19" ht="96.75" customHeight="1" x14ac:dyDescent="0.25">
      <c r="C12" s="73"/>
      <c r="D12" s="72"/>
      <c r="E12" s="63">
        <f>IF(+D11="Use USDA TFFA Rate Type &amp; Rate -&gt;",ROUND(+D18,4),ROUND(+D18,4))</f>
        <v>149975</v>
      </c>
      <c r="F12" s="58">
        <f>IF(+D11="Use USDA TFFA Rate Type &amp; Rate -&gt;",ROUND(+D18/(+G26+50),4),ROUND(+D18/H58,4))</f>
        <v>0.4284</v>
      </c>
      <c r="G12" s="63">
        <f>+G26</f>
        <v>350000</v>
      </c>
      <c r="H12" s="15">
        <f>+H10-D18</f>
        <v>49525</v>
      </c>
      <c r="I12" s="14" t="s">
        <v>31</v>
      </c>
    </row>
    <row r="13" spans="1:19" ht="12.75" customHeight="1" x14ac:dyDescent="0.25">
      <c r="C13" s="1"/>
      <c r="D13" s="1"/>
      <c r="E13" s="71" t="s">
        <v>92</v>
      </c>
      <c r="F13" s="71"/>
      <c r="G13" s="71"/>
      <c r="H13" s="1"/>
      <c r="I13" s="14"/>
      <c r="R13" s="10"/>
    </row>
    <row r="14" spans="1:19" ht="39" customHeight="1" x14ac:dyDescent="0.25">
      <c r="A14" s="62"/>
      <c r="C14" s="1"/>
      <c r="D14" s="1"/>
      <c r="E14" s="1"/>
      <c r="F14" s="65" t="s">
        <v>91</v>
      </c>
      <c r="G14" s="49" t="s">
        <v>81</v>
      </c>
      <c r="H14" s="1"/>
      <c r="I14" s="14"/>
    </row>
    <row r="15" spans="1:19" ht="23.25" customHeight="1" thickBot="1" x14ac:dyDescent="0.3">
      <c r="A15" s="10"/>
      <c r="C15" s="5" t="str">
        <f>+I28</f>
        <v>Adjusted MSU Effective MTDC Rate</v>
      </c>
      <c r="D15" s="2">
        <f>IF(+H23&gt;0,ROUND(+H29,4),"")</f>
        <v>0.4284</v>
      </c>
      <c r="E15" s="11" t="str">
        <f>IF(D15&lt;=0,"&lt;-Error - Rate can not be negative","")</f>
        <v/>
      </c>
      <c r="F15" s="64">
        <f>+D3+D16</f>
        <v>499975</v>
      </c>
      <c r="G15" s="50">
        <f>+D3-D82</f>
        <v>350000</v>
      </c>
      <c r="H15" s="16">
        <f>+D3*(0.4285)</f>
        <v>149975</v>
      </c>
      <c r="I15" s="17" t="s">
        <v>16</v>
      </c>
      <c r="J15" s="17"/>
      <c r="K15" s="17"/>
      <c r="L15" s="2">
        <f>+H12/H15</f>
        <v>0.33022170361726955</v>
      </c>
      <c r="R15" s="10"/>
    </row>
    <row r="16" spans="1:19" x14ac:dyDescent="0.25">
      <c r="A16" s="10"/>
      <c r="C16" s="18" t="str">
        <f>+I30</f>
        <v>Total Claimed F&amp;A</v>
      </c>
      <c r="D16" s="21">
        <f>+H30</f>
        <v>149975</v>
      </c>
      <c r="E16" s="11" t="str">
        <f>IF(D16&lt;0,"&lt;-Error - Amount can not be negative","")</f>
        <v/>
      </c>
      <c r="F16" s="68" t="s">
        <v>73</v>
      </c>
      <c r="G16" s="51" t="s">
        <v>74</v>
      </c>
      <c r="H16" s="10">
        <f>+D21+D25+D29+D33+D37+D41+D45+D49+D53+D57+D61+D65+D69+D73+D77</f>
        <v>0</v>
      </c>
      <c r="I16" t="s">
        <v>15</v>
      </c>
    </row>
    <row r="17" spans="1:18" ht="15.75" thickBot="1" x14ac:dyDescent="0.3">
      <c r="C17" s="5" t="str">
        <f>+I31</f>
        <v>Subaward IDC Amount</v>
      </c>
      <c r="D17" s="13">
        <f>+H31</f>
        <v>0</v>
      </c>
      <c r="E17" s="11" t="str">
        <f>IF(D17&lt;0,"&lt;-Error - Amount can not be negative","")</f>
        <v/>
      </c>
      <c r="F17" s="69">
        <f>+F15-(+F15/1.4285)</f>
        <v>149975</v>
      </c>
      <c r="G17" s="52">
        <f>+D80</f>
        <v>0</v>
      </c>
      <c r="H17" s="10">
        <f>IF(+H15-H10&gt;0,+H15-H10,0)</f>
        <v>0</v>
      </c>
      <c r="I17" t="s">
        <v>22</v>
      </c>
    </row>
    <row r="18" spans="1:18" x14ac:dyDescent="0.25">
      <c r="A18" s="10"/>
      <c r="C18" s="5" t="str">
        <f>+I32</f>
        <v>MSU IDC Amount</v>
      </c>
      <c r="D18" s="13">
        <f>+H32</f>
        <v>149975</v>
      </c>
      <c r="E18" s="11" t="str">
        <f>IF(D18&lt;0,"&lt;-Error - Amount can not be negative","")</f>
        <v/>
      </c>
      <c r="F18" s="31" t="str">
        <f>IF(+D16&gt;F17,"Error","")</f>
        <v/>
      </c>
      <c r="G18" s="53" t="s">
        <v>76</v>
      </c>
      <c r="H18" s="24" t="str">
        <f>IF(H10&gt;H15, "Use USDA TFFA Rate Type","Use MTDC Rate Type")</f>
        <v>Use USDA TFFA Rate Type</v>
      </c>
      <c r="R18" s="10"/>
    </row>
    <row r="19" spans="1:18" x14ac:dyDescent="0.25">
      <c r="A19" s="10"/>
      <c r="G19" s="52">
        <f>+D16</f>
        <v>149975</v>
      </c>
      <c r="L19" t="s">
        <v>14</v>
      </c>
      <c r="R19" s="13"/>
    </row>
    <row r="20" spans="1:18" x14ac:dyDescent="0.25">
      <c r="A20" s="10"/>
      <c r="C20" s="5" t="s">
        <v>3</v>
      </c>
      <c r="D20" s="7"/>
      <c r="E20" s="5" t="str">
        <f>IF(+E21&lt;&gt;"","Max F&amp;A","")</f>
        <v/>
      </c>
      <c r="F20" s="5"/>
      <c r="G20" s="53" t="s">
        <v>75</v>
      </c>
      <c r="L20">
        <f>IF(D20+D21&gt;=25000,25000,+D20+D21)</f>
        <v>0</v>
      </c>
    </row>
    <row r="21" spans="1:18" x14ac:dyDescent="0.25">
      <c r="A21" s="10"/>
      <c r="B21" s="30"/>
      <c r="C21" s="5" t="s">
        <v>4</v>
      </c>
      <c r="D21" s="7"/>
      <c r="E21" s="1" t="str">
        <f>IF(+D21&gt;0,(ROUND(+D20*(30/70),0)),"")</f>
        <v/>
      </c>
      <c r="F21" s="11" t="str">
        <f>IF(D21&gt;E21,"&lt;-Error - higher than TFFA amount","")</f>
        <v/>
      </c>
      <c r="G21" s="54">
        <f>+G15+G17+G19</f>
        <v>499975</v>
      </c>
      <c r="H21" s="1">
        <f>IF(H18 = "Use USDA TFFA Rate Type",+H15,+H10)</f>
        <v>149975</v>
      </c>
      <c r="I21" t="s">
        <v>26</v>
      </c>
    </row>
    <row r="22" spans="1:18" ht="27" customHeight="1" thickBot="1" x14ac:dyDescent="0.3">
      <c r="C22" s="5" t="s">
        <v>17</v>
      </c>
      <c r="D22" s="20">
        <f>+D20+D21</f>
        <v>0</v>
      </c>
      <c r="G22" s="55" t="str">
        <f>IF(+G21&lt;&gt;F15,"Plus MSU Direct Due to Sub F&amp;A Amt (reduces MSU Applicable KC F&amp;A rate)" &amp; (+F15-G21),"")</f>
        <v/>
      </c>
      <c r="H22" s="6" t="str">
        <f>IF(H10+H16&lt;H15,"Yes", "No")</f>
        <v>No</v>
      </c>
      <c r="I22" t="s">
        <v>32</v>
      </c>
    </row>
    <row r="23" spans="1:18" ht="45" x14ac:dyDescent="0.25">
      <c r="G23" s="56" t="s">
        <v>83</v>
      </c>
      <c r="H23" s="10">
        <f>IF(+H22="Yes",+H21,+H21-H16)</f>
        <v>149975</v>
      </c>
      <c r="I23" t="s">
        <v>27</v>
      </c>
    </row>
    <row r="24" spans="1:18" x14ac:dyDescent="0.25">
      <c r="A24" s="10"/>
      <c r="C24" s="5" t="s">
        <v>5</v>
      </c>
      <c r="D24" s="7"/>
      <c r="E24" s="5" t="str">
        <f>IF(+E25&lt;&gt;"","Max F&amp;A","")</f>
        <v/>
      </c>
      <c r="F24" s="5"/>
      <c r="G24" s="54">
        <f>+G15+D17</f>
        <v>350000</v>
      </c>
      <c r="H24" s="2">
        <f>+H23/D7</f>
        <v>0.42849999999999999</v>
      </c>
      <c r="I24" t="s">
        <v>28</v>
      </c>
      <c r="L24">
        <f>IF(D24+D25&gt;=25000,25000,+D24+D25)</f>
        <v>0</v>
      </c>
    </row>
    <row r="25" spans="1:18" x14ac:dyDescent="0.25">
      <c r="A25" s="10"/>
      <c r="C25" s="5" t="s">
        <v>6</v>
      </c>
      <c r="D25" s="7"/>
      <c r="E25" s="1" t="str">
        <f>IF(+D25&gt;0,(ROUND(+D24*(30/70),0)),"")</f>
        <v/>
      </c>
      <c r="F25" s="11" t="str">
        <f>IF(D25&gt;E25,"&lt;-Error - higher than TFFA amount","")</f>
        <v/>
      </c>
      <c r="G25" s="57" t="s">
        <v>88</v>
      </c>
      <c r="H25" s="10">
        <f>IF(+H22="Yes",+H16,+H21-H23)</f>
        <v>0</v>
      </c>
      <c r="I25" t="s">
        <v>15</v>
      </c>
    </row>
    <row r="26" spans="1:18" ht="15.75" thickBot="1" x14ac:dyDescent="0.3">
      <c r="C26" s="5" t="s">
        <v>18</v>
      </c>
      <c r="D26" s="20">
        <f>+D24+D25</f>
        <v>0</v>
      </c>
      <c r="G26" s="48">
        <f>+G24+D82</f>
        <v>350000</v>
      </c>
      <c r="H26" s="10">
        <f>IF(H17&lt;H16,+H17,0)</f>
        <v>0</v>
      </c>
      <c r="I26" t="str">
        <f>IF(+H24&lt;D9,"Available MSU MTDC Bonus Amount up to Cap","No Bonus")</f>
        <v>Available MSU MTDC Bonus Amount up to Cap</v>
      </c>
    </row>
    <row r="27" spans="1:18" x14ac:dyDescent="0.25">
      <c r="H27" s="12">
        <f>+H23+H26</f>
        <v>149975</v>
      </c>
      <c r="I27" t="s">
        <v>23</v>
      </c>
    </row>
    <row r="28" spans="1:18" x14ac:dyDescent="0.25">
      <c r="A28" s="10"/>
      <c r="C28" s="5" t="s">
        <v>7</v>
      </c>
      <c r="D28" s="7">
        <v>0</v>
      </c>
      <c r="E28" s="5" t="str">
        <f>IF(+E29&lt;&gt;"","Max F&amp;A","")</f>
        <v/>
      </c>
      <c r="F28" s="5"/>
      <c r="G28" s="18" t="str">
        <f>IF(+$D$11="xxxxxdonotusexxxx Use USDA TFFA Rate Type &amp; Rate -&gt;","TFFA Postaward Rate (Used for Account Setup)","")</f>
        <v/>
      </c>
      <c r="H28" s="2">
        <f>+H27/D7</f>
        <v>0.42849999999999999</v>
      </c>
      <c r="I28" t="s">
        <v>34</v>
      </c>
      <c r="L28">
        <f>IF(D28+D29&gt;=25000,25000,+D28+D29)</f>
        <v>0</v>
      </c>
    </row>
    <row r="29" spans="1:18" x14ac:dyDescent="0.25">
      <c r="C29" s="5" t="s">
        <v>8</v>
      </c>
      <c r="D29" s="7">
        <v>0</v>
      </c>
      <c r="E29" s="1" t="str">
        <f>IF(+D29&gt;0,(ROUND(+D28*(30/70),0)),"")</f>
        <v/>
      </c>
      <c r="F29" s="11" t="str">
        <f>IF(D29&gt;E29,"&lt;-Error - higher than TFFA amount","")</f>
        <v/>
      </c>
      <c r="G29" s="32" t="str">
        <f>IF(+$D$11="xxxxdonotusexxxx Use USDA TFFA Rate Type &amp; Rate -&gt;",ROUND(+$D$18/+$D$3,4),"")</f>
        <v/>
      </c>
      <c r="H29" s="36">
        <f>+H27/(H58+50)</f>
        <v>0.42843879445793459</v>
      </c>
      <c r="I29" t="s">
        <v>78</v>
      </c>
    </row>
    <row r="30" spans="1:18" ht="15.75" thickBot="1" x14ac:dyDescent="0.3">
      <c r="A30" s="10"/>
      <c r="C30" s="5" t="s">
        <v>19</v>
      </c>
      <c r="D30" s="20">
        <f>+D28+D29</f>
        <v>0</v>
      </c>
      <c r="G30" s="18" t="str">
        <f>IF(+$D$11="xxxxdonotusexxx Use USDA TFFA Rate Type &amp; Rate -&gt;","TFFA Postaward Amount (Used for Account Setup)","")</f>
        <v/>
      </c>
      <c r="H30" s="10">
        <f>IF(+H29&gt;+D9,(+H58*+D9)+H25,+H25+H27)</f>
        <v>149975</v>
      </c>
      <c r="I30" t="s">
        <v>24</v>
      </c>
    </row>
    <row r="31" spans="1:18" ht="13.5" customHeight="1" x14ac:dyDescent="0.25">
      <c r="A31" s="10"/>
      <c r="G31" s="10" t="str">
        <f>IF(+$D$11="xxxxdonotusexxxx Use USDA TFFA Rate Type &amp; Rate -&gt;",+$D$18,"")</f>
        <v/>
      </c>
      <c r="H31" s="10">
        <f>+H25</f>
        <v>0</v>
      </c>
      <c r="I31" t="str">
        <f>+I25</f>
        <v>Subaward IDC Amount</v>
      </c>
    </row>
    <row r="32" spans="1:18" x14ac:dyDescent="0.25">
      <c r="A32" s="10"/>
      <c r="C32" s="5" t="s">
        <v>9</v>
      </c>
      <c r="D32" s="7">
        <v>0</v>
      </c>
      <c r="E32" s="5" t="str">
        <f>IF(+E33&lt;&gt;"","Max F&amp;A","")</f>
        <v/>
      </c>
      <c r="F32" s="5"/>
      <c r="G32" s="5"/>
      <c r="H32" s="10">
        <f>+H30-H31</f>
        <v>149975</v>
      </c>
      <c r="I32" t="s">
        <v>25</v>
      </c>
      <c r="L32">
        <f>IF(D32+D33&gt;=25000,25000,+D32+D33)</f>
        <v>0</v>
      </c>
    </row>
    <row r="33" spans="2:22" x14ac:dyDescent="0.25">
      <c r="C33" s="5" t="s">
        <v>10</v>
      </c>
      <c r="D33" s="7">
        <v>0</v>
      </c>
      <c r="E33" s="1" t="str">
        <f>IF(+D33&gt;0,(ROUND(+D32*(30/70),0)),"")</f>
        <v/>
      </c>
      <c r="F33" s="11" t="str">
        <f>IF(D33&gt;E33,"&lt;-Error - higher than TFFA amount","")</f>
        <v/>
      </c>
      <c r="H33" s="10">
        <f>+D4+D16-D18-D5-D82+L80</f>
        <v>350000</v>
      </c>
      <c r="I33" t="s">
        <v>79</v>
      </c>
    </row>
    <row r="34" spans="2:22" ht="21.75" customHeight="1" thickBot="1" x14ac:dyDescent="0.3">
      <c r="B34" s="1"/>
      <c r="C34" s="5" t="s">
        <v>20</v>
      </c>
      <c r="D34" s="20">
        <f>+D32+D33</f>
        <v>0</v>
      </c>
      <c r="U34" s="1"/>
    </row>
    <row r="35" spans="2:22" x14ac:dyDescent="0.25">
      <c r="B35" s="1"/>
      <c r="E35" s="3"/>
      <c r="F35" s="3"/>
      <c r="G35" s="3"/>
      <c r="H35" s="19">
        <f>+H25/D16</f>
        <v>0</v>
      </c>
      <c r="I35" s="11" t="s">
        <v>29</v>
      </c>
      <c r="J35" s="3"/>
      <c r="K35" s="3"/>
      <c r="N35" s="2"/>
      <c r="O35" s="4"/>
      <c r="P35" s="1"/>
      <c r="Q35" s="1"/>
      <c r="R35" s="1"/>
      <c r="S35" s="1"/>
      <c r="T35" s="1"/>
      <c r="U35" s="1"/>
    </row>
    <row r="36" spans="2:22" x14ac:dyDescent="0.25">
      <c r="B36" s="1"/>
      <c r="C36" s="5" t="s">
        <v>11</v>
      </c>
      <c r="D36" s="7"/>
      <c r="E36" s="5" t="str">
        <f>IF(+E37&lt;&gt;"","Max F&amp;A","")</f>
        <v/>
      </c>
      <c r="F36" s="5"/>
      <c r="G36" s="5"/>
      <c r="H36" s="19">
        <f>(+D22+D26+D30+D34+D38)/D4</f>
        <v>0</v>
      </c>
      <c r="I36" s="11" t="s">
        <v>30</v>
      </c>
      <c r="J36" s="3"/>
      <c r="K36" s="3"/>
      <c r="L36">
        <f>IF(D36+D37&gt;=25000,25000,+D36+D37)</f>
        <v>0</v>
      </c>
      <c r="N36" s="2"/>
      <c r="O36" s="4"/>
      <c r="P36" s="1"/>
      <c r="Q36" s="1"/>
      <c r="R36" s="1"/>
      <c r="S36" s="1"/>
      <c r="T36" s="1"/>
      <c r="U36" s="1"/>
    </row>
    <row r="37" spans="2:22" x14ac:dyDescent="0.25">
      <c r="B37" s="1"/>
      <c r="C37" s="5" t="s">
        <v>12</v>
      </c>
      <c r="D37" s="7"/>
      <c r="E37" s="1" t="str">
        <f>IF(+D37&gt;0,(ROUND(+D36*(30/70),0)),"")</f>
        <v/>
      </c>
      <c r="F37" s="11" t="str">
        <f>IF(D37&gt;E37,"&lt;-Error - higher than TFFA amount","")</f>
        <v/>
      </c>
      <c r="J37" s="3"/>
      <c r="K37" s="3"/>
      <c r="N37" s="2"/>
      <c r="O37" s="4"/>
      <c r="P37" s="1"/>
      <c r="Q37" s="1"/>
      <c r="R37" s="1"/>
      <c r="S37" s="1"/>
      <c r="T37" s="1"/>
      <c r="U37" s="1"/>
    </row>
    <row r="38" spans="2:22" ht="15.75" thickBot="1" x14ac:dyDescent="0.3">
      <c r="B38" s="1"/>
      <c r="C38" s="5" t="s">
        <v>21</v>
      </c>
      <c r="D38" s="20">
        <f>+D36+D37</f>
        <v>0</v>
      </c>
      <c r="E38" s="3"/>
      <c r="F38" s="3"/>
      <c r="G38" s="3"/>
      <c r="J38" s="3"/>
      <c r="K38" s="3"/>
      <c r="N38" s="2"/>
      <c r="O38" s="4"/>
      <c r="P38" s="1"/>
      <c r="Q38" s="1"/>
      <c r="R38" s="1"/>
      <c r="S38" s="1"/>
      <c r="T38" s="1"/>
      <c r="U38" s="1"/>
    </row>
    <row r="39" spans="2:22" x14ac:dyDescent="0.25">
      <c r="B39" s="1"/>
      <c r="D39" s="5"/>
      <c r="E39" s="3"/>
      <c r="F39" s="3"/>
      <c r="G39" s="3"/>
      <c r="H39" s="10"/>
      <c r="J39" s="3"/>
      <c r="K39" s="3"/>
      <c r="N39" s="2"/>
      <c r="O39" s="4"/>
      <c r="P39" s="1"/>
      <c r="Q39" s="1"/>
      <c r="R39" s="1"/>
      <c r="S39" s="1"/>
      <c r="T39" s="1"/>
      <c r="U39" s="1"/>
    </row>
    <row r="40" spans="2:22" x14ac:dyDescent="0.25">
      <c r="B40" s="1"/>
      <c r="C40" s="5" t="s">
        <v>36</v>
      </c>
      <c r="D40" s="7"/>
      <c r="E40" s="5" t="str">
        <f>IF(+E41&lt;&gt;"","Max F&amp;A","")</f>
        <v/>
      </c>
      <c r="F40" s="5"/>
      <c r="G40" s="3"/>
      <c r="H40" s="10">
        <f>+D20+D24+D28+D32+D36+D40+D44+D48+D52+D56+D60+D64+D68+D72+D76</f>
        <v>0</v>
      </c>
      <c r="I40" t="s">
        <v>67</v>
      </c>
      <c r="J40" s="3"/>
      <c r="K40" s="3"/>
      <c r="L40">
        <f>IF(D40+D41&gt;=25000,25000,+D40+D41)</f>
        <v>0</v>
      </c>
      <c r="N40" s="2"/>
      <c r="O40" s="4"/>
      <c r="P40" s="1"/>
      <c r="Q40" s="1"/>
      <c r="R40" s="1"/>
      <c r="S40" s="1"/>
      <c r="T40" s="1"/>
      <c r="U40" s="1"/>
    </row>
    <row r="41" spans="2:22" x14ac:dyDescent="0.25">
      <c r="B41" s="1"/>
      <c r="C41" s="5" t="s">
        <v>37</v>
      </c>
      <c r="D41" s="7"/>
      <c r="E41" s="1" t="str">
        <f>IF(+D41&gt;0,(ROUND(+D40*(30/70),0)),"")</f>
        <v/>
      </c>
      <c r="F41" s="11" t="str">
        <f>IF(D41&gt;E41,"&lt;-Error - higher than TFFA amount","")</f>
        <v/>
      </c>
      <c r="G41" s="3"/>
      <c r="H41" s="10">
        <f>+D21+D25+D29+D33+D37+D41+D45+D49+D53+D57+D61+D65+D69+D73+D77</f>
        <v>0</v>
      </c>
      <c r="I41" t="s">
        <v>66</v>
      </c>
      <c r="J41" s="3"/>
      <c r="K41" s="3"/>
      <c r="N41" s="2"/>
      <c r="O41" s="4"/>
      <c r="P41" s="1"/>
      <c r="Q41" s="1"/>
      <c r="R41" s="1"/>
      <c r="S41" s="1"/>
      <c r="T41" s="1"/>
      <c r="U41" s="1"/>
    </row>
    <row r="42" spans="2:22" ht="15.75" thickBot="1" x14ac:dyDescent="0.3">
      <c r="B42" s="1"/>
      <c r="C42" s="5" t="s">
        <v>38</v>
      </c>
      <c r="D42" s="20">
        <f>+D40+D41</f>
        <v>0</v>
      </c>
      <c r="E42" s="3"/>
      <c r="F42" s="3"/>
      <c r="G42" s="3"/>
      <c r="H42" s="10">
        <f>SUM(H40:H41)</f>
        <v>0</v>
      </c>
      <c r="I42" t="s">
        <v>68</v>
      </c>
      <c r="J42" s="3"/>
      <c r="K42" s="3"/>
      <c r="N42" s="2"/>
      <c r="O42" s="4"/>
      <c r="P42" s="1"/>
      <c r="Q42" s="1"/>
      <c r="R42" s="1"/>
      <c r="S42" s="1"/>
      <c r="T42" s="1"/>
      <c r="U42" s="1"/>
    </row>
    <row r="43" spans="2:22" x14ac:dyDescent="0.25">
      <c r="B43" s="1"/>
      <c r="D43" s="5"/>
      <c r="E43" s="3"/>
      <c r="F43" s="3"/>
      <c r="G43" s="3"/>
      <c r="J43" s="3"/>
      <c r="K43" s="3"/>
      <c r="N43" s="2"/>
      <c r="O43" s="4"/>
      <c r="P43" s="1"/>
      <c r="Q43" s="1"/>
      <c r="R43" s="1"/>
      <c r="S43" s="1"/>
      <c r="T43" s="1"/>
      <c r="U43" s="1"/>
    </row>
    <row r="44" spans="2:22" x14ac:dyDescent="0.25">
      <c r="B44" s="1"/>
      <c r="C44" s="5" t="s">
        <v>39</v>
      </c>
      <c r="D44" s="7"/>
      <c r="E44" s="5" t="str">
        <f>IF(+E45&lt;&gt;"","Max F&amp;A","")</f>
        <v/>
      </c>
      <c r="F44" s="5"/>
      <c r="G44" s="3"/>
      <c r="J44" s="3"/>
      <c r="K44" s="3"/>
      <c r="L44">
        <f>IF(D44+D45&gt;=25000,25000,+D44+D45)</f>
        <v>0</v>
      </c>
      <c r="N44" s="2"/>
      <c r="O44" s="4"/>
      <c r="P44" s="1"/>
      <c r="Q44" s="1"/>
      <c r="R44" s="1"/>
      <c r="S44" s="1"/>
      <c r="T44" s="1"/>
      <c r="U44" s="1"/>
    </row>
    <row r="45" spans="2:22" x14ac:dyDescent="0.25">
      <c r="B45" s="1"/>
      <c r="C45" s="5" t="s">
        <v>40</v>
      </c>
      <c r="D45" s="7"/>
      <c r="E45" s="1" t="str">
        <f>IF(+D45&gt;0,(ROUND(+D44*(30/70),0)),"")</f>
        <v/>
      </c>
      <c r="F45" s="11" t="str">
        <f>IF(D45&gt;E45,"&lt;-Error - higher than TFFA amount","")</f>
        <v/>
      </c>
      <c r="G45" s="3"/>
      <c r="H45" s="10"/>
      <c r="J45" s="3"/>
      <c r="K45" s="3"/>
      <c r="N45" s="2"/>
      <c r="O45" s="4"/>
      <c r="P45" s="1"/>
      <c r="Q45" s="1"/>
      <c r="R45" s="1"/>
      <c r="S45" s="1"/>
      <c r="T45" s="1"/>
      <c r="U45" s="1"/>
    </row>
    <row r="46" spans="2:22" ht="15.75" thickBot="1" x14ac:dyDescent="0.3">
      <c r="C46" s="5" t="s">
        <v>41</v>
      </c>
      <c r="D46" s="20">
        <f>+D44+D45</f>
        <v>0</v>
      </c>
      <c r="E46" s="3"/>
      <c r="F46" s="3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2:22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2:22" x14ac:dyDescent="0.25">
      <c r="B48" s="1"/>
      <c r="C48" s="5" t="s">
        <v>42</v>
      </c>
      <c r="D48" s="7"/>
      <c r="E48" s="5" t="str">
        <f>IF(+E49&lt;&gt;"","Max F&amp;A","")</f>
        <v/>
      </c>
      <c r="F48" s="5"/>
      <c r="G48" s="1"/>
      <c r="H48" s="1"/>
      <c r="I48" s="1"/>
      <c r="J48" s="1"/>
      <c r="K48" s="1"/>
      <c r="L48">
        <f>IF(D48+D49&gt;=25000,25000,+D48+D49)</f>
        <v>0</v>
      </c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2:22" ht="15.75" thickBot="1" x14ac:dyDescent="0.3">
      <c r="B49" s="1"/>
      <c r="C49" s="5" t="s">
        <v>43</v>
      </c>
      <c r="D49" s="7"/>
      <c r="E49" s="1" t="str">
        <f>IF(+D49&gt;0,(ROUND(+D48*(30/70),0)),"")</f>
        <v/>
      </c>
      <c r="F49" s="11" t="str">
        <f>IF(D49&gt;E49,"&lt;-Error - higher than TFFA amount","")</f>
        <v/>
      </c>
      <c r="G49" s="1"/>
      <c r="H49" s="27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2:22" ht="16.5" thickTop="1" thickBot="1" x14ac:dyDescent="0.3">
      <c r="B50" s="1"/>
      <c r="C50" s="5" t="s">
        <v>44</v>
      </c>
      <c r="D50" s="20">
        <f>+D48+D49</f>
        <v>0</v>
      </c>
      <c r="E50" s="3"/>
      <c r="F50" s="3"/>
      <c r="G50" s="1"/>
      <c r="H50" s="26"/>
      <c r="I50" s="26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2:22" ht="15.75" thickBot="1" x14ac:dyDescent="0.3">
      <c r="B51" s="1"/>
      <c r="C51" s="1"/>
      <c r="D51" s="1"/>
      <c r="E51" s="1"/>
      <c r="F51" s="1"/>
      <c r="G51" s="1"/>
      <c r="H51" s="28"/>
      <c r="I51" s="28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2:22" x14ac:dyDescent="0.25">
      <c r="B52" s="1"/>
      <c r="C52" s="5" t="s">
        <v>45</v>
      </c>
      <c r="D52" s="7"/>
      <c r="E52" s="5" t="str">
        <f>IF(+E53&lt;&gt;"","Max F&amp;A","")</f>
        <v/>
      </c>
      <c r="F52" s="5"/>
      <c r="G52" s="1"/>
      <c r="H52" s="1"/>
      <c r="I52" s="1"/>
      <c r="J52" s="1"/>
      <c r="K52" s="1"/>
      <c r="L52">
        <f>IF(D52+D53&gt;=25000,25000,+D52+D53)</f>
        <v>0</v>
      </c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2:22" x14ac:dyDescent="0.25">
      <c r="B53" s="1"/>
      <c r="C53" s="5" t="s">
        <v>46</v>
      </c>
      <c r="D53" s="7"/>
      <c r="E53" s="1" t="str">
        <f>IF(+D53&gt;0,(ROUND(+D52*(30/70),0)),"")</f>
        <v/>
      </c>
      <c r="F53" s="11" t="str">
        <f>IF(D53&gt;E53,"&lt;-Error - higher than TFFA amount","")</f>
        <v/>
      </c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2:22" ht="15.75" thickBot="1" x14ac:dyDescent="0.3">
      <c r="B54" s="1"/>
      <c r="C54" s="5" t="s">
        <v>47</v>
      </c>
      <c r="D54" s="20">
        <f>+D52+D53</f>
        <v>0</v>
      </c>
      <c r="E54" s="3"/>
      <c r="F54" s="3"/>
      <c r="G54" s="1"/>
      <c r="H54" s="1">
        <f>+G26</f>
        <v>350000</v>
      </c>
      <c r="I54" s="1" t="s">
        <v>82</v>
      </c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2:22" x14ac:dyDescent="0.25">
      <c r="B55" s="1"/>
      <c r="C55" s="1"/>
      <c r="D55" s="1"/>
      <c r="E55" s="1"/>
      <c r="F55" s="1"/>
      <c r="G55" s="1"/>
      <c r="H55" s="1">
        <f>+L80</f>
        <v>0</v>
      </c>
      <c r="I55" s="1" t="s">
        <v>84</v>
      </c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2:22" x14ac:dyDescent="0.25">
      <c r="B56" s="1"/>
      <c r="C56" s="5" t="s">
        <v>48</v>
      </c>
      <c r="D56" s="7"/>
      <c r="E56" s="5" t="str">
        <f>IF(+E57&lt;&gt;"","Max F&amp;A","")</f>
        <v/>
      </c>
      <c r="F56" s="5"/>
      <c r="G56" s="1"/>
      <c r="H56" s="1">
        <f>+D5</f>
        <v>0</v>
      </c>
      <c r="I56" s="1" t="s">
        <v>85</v>
      </c>
      <c r="J56" s="1"/>
      <c r="K56" s="1"/>
      <c r="L56">
        <f>IF(D56+D57&gt;=25000,25000,+D56+D57)</f>
        <v>0</v>
      </c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2:22" x14ac:dyDescent="0.25">
      <c r="B57" s="1"/>
      <c r="C57" s="5" t="s">
        <v>49</v>
      </c>
      <c r="D57" s="7"/>
      <c r="E57" s="1" t="str">
        <f>IF(+D57&gt;0,(ROUND(+D56*(30/70),0)),"")</f>
        <v/>
      </c>
      <c r="F57" s="11" t="str">
        <f>IF(D57&gt;E57,"&lt;-Error - higher than TFFA amount","")</f>
        <v/>
      </c>
      <c r="G57" s="1"/>
      <c r="H57" s="1">
        <f>+D82</f>
        <v>0</v>
      </c>
      <c r="I57" s="1" t="s">
        <v>86</v>
      </c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2:22" ht="15.75" thickBot="1" x14ac:dyDescent="0.3">
      <c r="B58" s="1"/>
      <c r="C58" s="5" t="s">
        <v>50</v>
      </c>
      <c r="D58" s="20">
        <f>+D56+D57</f>
        <v>0</v>
      </c>
      <c r="E58" s="3"/>
      <c r="F58" s="3"/>
      <c r="G58" s="1"/>
      <c r="H58" s="35">
        <f>+H54+H55-H56-H57</f>
        <v>350000</v>
      </c>
      <c r="I58" s="1" t="s">
        <v>87</v>
      </c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2:22" x14ac:dyDescent="0.25">
      <c r="B59" s="1"/>
      <c r="C59" s="1"/>
      <c r="D59" s="1"/>
      <c r="E59" s="1"/>
      <c r="F59" s="1"/>
      <c r="G59" s="1"/>
      <c r="H59" s="37">
        <f>+D18/H58</f>
        <v>0.42849999999999999</v>
      </c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2:22" x14ac:dyDescent="0.25">
      <c r="B60" s="1"/>
      <c r="C60" s="5" t="s">
        <v>51</v>
      </c>
      <c r="D60" s="7"/>
      <c r="E60" s="5" t="str">
        <f>IF(+E61&lt;&gt;"","Max F&amp;A","")</f>
        <v/>
      </c>
      <c r="F60" s="5"/>
      <c r="G60" s="1"/>
      <c r="H60" s="1"/>
      <c r="I60" s="1"/>
      <c r="J60" s="1"/>
      <c r="K60" s="1"/>
      <c r="L60">
        <f>IF(D60+D61&gt;=25000,25000,+D60+D61)</f>
        <v>0</v>
      </c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2:22" x14ac:dyDescent="0.25">
      <c r="B61" s="1"/>
      <c r="C61" s="5" t="s">
        <v>52</v>
      </c>
      <c r="D61" s="7"/>
      <c r="E61" s="1" t="str">
        <f>IF(+D61&gt;0,(ROUND(+D60*(30/70),0)),"")</f>
        <v/>
      </c>
      <c r="F61" s="11" t="str">
        <f>IF(D61&gt;E61,"&lt;-Error - higher than TFFA amount","")</f>
        <v/>
      </c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2:22" ht="15.75" thickBot="1" x14ac:dyDescent="0.3">
      <c r="C62" s="5" t="s">
        <v>53</v>
      </c>
      <c r="D62" s="20">
        <f>+D60+D61</f>
        <v>0</v>
      </c>
      <c r="E62" s="3"/>
      <c r="F62" s="3"/>
    </row>
    <row r="64" spans="2:22" x14ac:dyDescent="0.25">
      <c r="C64" s="5" t="s">
        <v>54</v>
      </c>
      <c r="D64" s="7"/>
      <c r="E64" s="5" t="str">
        <f>IF(+E65&lt;&gt;"","Max F&amp;A","")</f>
        <v/>
      </c>
      <c r="F64" s="5"/>
      <c r="L64">
        <f>IF(D64+D65&gt;=25000,25000,+D64+D65)</f>
        <v>0</v>
      </c>
    </row>
    <row r="65" spans="3:12" x14ac:dyDescent="0.25">
      <c r="C65" s="5" t="s">
        <v>55</v>
      </c>
      <c r="D65" s="7"/>
      <c r="E65" s="1" t="str">
        <f>IF(+D65&gt;0,(ROUND(+D64*(30/70),0)),"")</f>
        <v/>
      </c>
      <c r="F65" s="11" t="str">
        <f>IF(D65&gt;E65,"&lt;-Error - higher than TFFA amount","")</f>
        <v/>
      </c>
    </row>
    <row r="66" spans="3:12" ht="15.75" thickBot="1" x14ac:dyDescent="0.3">
      <c r="C66" s="5" t="s">
        <v>56</v>
      </c>
      <c r="D66" s="20">
        <f>+D64+D65</f>
        <v>0</v>
      </c>
      <c r="E66" s="3"/>
      <c r="F66" s="3"/>
    </row>
    <row r="68" spans="3:12" x14ac:dyDescent="0.25">
      <c r="C68" s="5" t="s">
        <v>57</v>
      </c>
      <c r="D68" s="7"/>
      <c r="E68" s="5" t="str">
        <f>IF(+E69&lt;&gt;"","Max F&amp;A","")</f>
        <v/>
      </c>
      <c r="F68" s="5"/>
      <c r="L68">
        <f>IF(D68+D69&gt;=25000,25000,+D68+D69)</f>
        <v>0</v>
      </c>
    </row>
    <row r="69" spans="3:12" x14ac:dyDescent="0.25">
      <c r="C69" s="5" t="s">
        <v>58</v>
      </c>
      <c r="D69" s="7"/>
      <c r="E69" s="1" t="str">
        <f>IF(+D69&gt;0,(ROUND(+D68*(30/70),0)),"")</f>
        <v/>
      </c>
      <c r="F69" s="11" t="str">
        <f>IF(D69&gt;E69,"&lt;-Error - higher than TFFA amount","")</f>
        <v/>
      </c>
    </row>
    <row r="70" spans="3:12" ht="15.75" thickBot="1" x14ac:dyDescent="0.3">
      <c r="C70" s="5" t="s">
        <v>59</v>
      </c>
      <c r="D70" s="20">
        <f>+D68+D69</f>
        <v>0</v>
      </c>
      <c r="E70" s="3"/>
      <c r="F70" s="3"/>
    </row>
    <row r="72" spans="3:12" x14ac:dyDescent="0.25">
      <c r="C72" s="5" t="s">
        <v>60</v>
      </c>
      <c r="D72" s="7"/>
      <c r="E72" s="5" t="str">
        <f>IF(+E73&lt;&gt;"","Max F&amp;A","")</f>
        <v/>
      </c>
      <c r="F72" s="5"/>
      <c r="L72">
        <f>IF(D72+D73&gt;=25000,25000,+D72+D73)</f>
        <v>0</v>
      </c>
    </row>
    <row r="73" spans="3:12" x14ac:dyDescent="0.25">
      <c r="C73" s="5" t="s">
        <v>61</v>
      </c>
      <c r="D73" s="7"/>
      <c r="E73" s="1" t="str">
        <f>IF(+D73&gt;0,(ROUND(+D72*(30/70),0)),"")</f>
        <v/>
      </c>
      <c r="F73" s="11" t="str">
        <f>IF(D73&gt;E73,"&lt;-Error - higher than TFFA amount","")</f>
        <v/>
      </c>
    </row>
    <row r="74" spans="3:12" ht="15.75" thickBot="1" x14ac:dyDescent="0.3">
      <c r="C74" s="5" t="s">
        <v>62</v>
      </c>
      <c r="D74" s="20">
        <f>+D72+D73</f>
        <v>0</v>
      </c>
      <c r="E74" s="3"/>
      <c r="F74" s="3"/>
    </row>
    <row r="76" spans="3:12" x14ac:dyDescent="0.25">
      <c r="C76" s="5" t="s">
        <v>63</v>
      </c>
      <c r="D76" s="7"/>
      <c r="E76" s="5" t="str">
        <f>IF(+E77&lt;&gt;"","Max F&amp;A","")</f>
        <v/>
      </c>
      <c r="F76" s="5"/>
      <c r="L76">
        <f>IF(D76+D77&gt;=25000,25000,+D76+D77)</f>
        <v>0</v>
      </c>
    </row>
    <row r="77" spans="3:12" x14ac:dyDescent="0.25">
      <c r="C77" s="5" t="s">
        <v>64</v>
      </c>
      <c r="D77" s="7"/>
      <c r="E77" s="1" t="str">
        <f>IF(+D77&gt;0,(ROUND(+D76*(30/70),0)),"")</f>
        <v/>
      </c>
      <c r="F77" s="11" t="str">
        <f>IF(D77&gt;E77,"&lt;-Error - higher than TFFA amount","")</f>
        <v/>
      </c>
    </row>
    <row r="78" spans="3:12" ht="15.75" thickBot="1" x14ac:dyDescent="0.3">
      <c r="C78" s="5" t="s">
        <v>65</v>
      </c>
      <c r="D78" s="20">
        <f>+D76+D77</f>
        <v>0</v>
      </c>
      <c r="E78" s="3"/>
      <c r="F78" s="3"/>
    </row>
    <row r="80" spans="3:12" x14ac:dyDescent="0.25">
      <c r="C80" s="5" t="s">
        <v>67</v>
      </c>
      <c r="D80" s="25">
        <f>+H40</f>
        <v>0</v>
      </c>
      <c r="L80">
        <f>SUM(L19:L78)</f>
        <v>0</v>
      </c>
    </row>
    <row r="81" spans="3:4" x14ac:dyDescent="0.25">
      <c r="C81" s="5" t="s">
        <v>69</v>
      </c>
      <c r="D81" s="25">
        <f>+H41</f>
        <v>0</v>
      </c>
    </row>
    <row r="82" spans="3:4" ht="15.75" thickBot="1" x14ac:dyDescent="0.3">
      <c r="C82" s="5" t="s">
        <v>68</v>
      </c>
      <c r="D82" s="20">
        <f>+D80+D81</f>
        <v>0</v>
      </c>
    </row>
  </sheetData>
  <mergeCells count="6">
    <mergeCell ref="O1:Q2"/>
    <mergeCell ref="E13:G13"/>
    <mergeCell ref="D11:D12"/>
    <mergeCell ref="C11:C12"/>
    <mergeCell ref="F6:G7"/>
    <mergeCell ref="G1:G2"/>
  </mergeCells>
  <hyperlinks>
    <hyperlink ref="O1:O2" r:id="rId1" display="Click here for newest version" xr:uid="{00000000-0004-0000-0000-000000000000}"/>
  </hyperlinks>
  <printOptions horizontalCentered="1" verticalCentered="1"/>
  <pageMargins left="0.25" right="0.25" top="0.75" bottom="0.75" header="0.3" footer="0.3"/>
  <pageSetup scale="36" orientation="landscape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F&amp;A Calculator</vt:lpstr>
      <vt:lpstr>'F&amp;A Calculator'!Print_Area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Craig ONeill</dc:creator>
  <cp:lastModifiedBy>Shoup, Daniel</cp:lastModifiedBy>
  <cp:lastPrinted>2019-05-30T17:53:52Z</cp:lastPrinted>
  <dcterms:created xsi:type="dcterms:W3CDTF">2019-03-21T12:09:06Z</dcterms:created>
  <dcterms:modified xsi:type="dcterms:W3CDTF">2023-05-10T19:29:04Z</dcterms:modified>
</cp:coreProperties>
</file>